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<sst xmlns="http://schemas.openxmlformats.org/spreadsheetml/2006/main" count="278" uniqueCount="248">
  <si>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</si>
  <si>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</si>
  <si>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</si>
  <si>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</si>
  <si>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</si>
  <si>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</si>
  <si>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</si>
  <si>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</si>
  <si>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</si>
  <si>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</si>
  <si>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</si>
  <si>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</si>
  <si>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</si>
  <si>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</si>
  <si>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</si>
  <si>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</si>
  <si>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</si>
  <si>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</si>
  <si>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</si>
  <si>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</si>
  <si>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</si>
  <si>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</si>
  <si>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</si>
  <si>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</si>
  <si>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</si>
  <si>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</si>
  <si>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</si>
  <si>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</si>
  <si>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</si>
  <si>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</si>
  <si>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</si>
  <si>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</si>
  <si>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</si>
  <si>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</si>
  <si>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</si>
  <si>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</si>
  <si>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</si>
  <si>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</si>
  <si>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</si>
  <si>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</si>
  <si>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</si>
  <si>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</si>
  <si>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</si>
  <si>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</si>
  <si>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</si>
  <si>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</si>
  <si>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</si>
  <si>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</si>
  <si>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</si>
  <si>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</si>
  <si>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</si>
  <si>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</si>
  <si>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</si>
  <si>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</si>
  <si>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</si>
  <si>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</si>
  <si>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</si>
  <si>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</si>
  <si>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</si>
  <si>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</si>
  <si>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</si>
  <si>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</si>
  <si>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</si>
  <si>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</si>
  <si>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</si>
  <si>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</si>
  <si>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</si>
  <si>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</si>
  <si>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</si>
  <si>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</si>
  <si>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</si>
  <si>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</si>
  <si>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</si>
  <si>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</si>
  <si>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</si>
  <si>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</si>
  <si>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</si>
  <si>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</si>
  <si>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</si>
  <si>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</si>
  <si>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</si>
  <si>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</si>
  <si>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</si>
  <si>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</si>
  <si>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</si>
  <si>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</si>
  <si>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</si>
  <si>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</si>
  <si>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</si>
  <si>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</si>
  <si>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</si>
  <si>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</si>
  <si>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</si>
  <si>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</si>
  <si>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</si>
  <si>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</si>
  <si>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</si>
  <si>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</si>
  <si>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</si>
  <si>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</si>
  <si>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</si>
  <si>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</si>
  <si>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</si>
  <si>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</si>
  <si>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</si>
  <si>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</si>
  <si>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</si>
  <si>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</si>
  <si>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</si>
  <si>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</si>
  <si>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</si>
  <si>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</si>
  <si>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</si>
  <si>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</si>
  <si>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</si>
  <si>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</si>
  <si>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</si>
  <si>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</si>
  <si>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</si>
  <si>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</si>
  <si>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</si>
  <si>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</si>
  <si>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</si>
  <si>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</si>
  <si>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</si>
  <si>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</si>
  <si>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</si>
  <si>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</si>
  <si>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</si>
  <si>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</si>
  <si>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</si>
  <si>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</si>
  <si>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</si>
  <si>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</si>
  <si>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</si>
  <si>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</si>
  <si>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</si>
  <si>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</si>
  <si>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</si>
  <si>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</si>
  <si>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</si>
  <si>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</si>
  <si>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</si>
  <si>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</si>
  <si>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</si>
  <si>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</si>
  <si>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</si>
  <si>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</si>
  <si>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</si>
  <si>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</si>
  <si>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</si>
  <si>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</si>
  <si>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</si>
  <si>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</si>
  <si>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</si>
  <si>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</si>
  <si>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</si>
  <si>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</si>
  <si>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</si>
  <si>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</si>
  <si>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</si>
  <si>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</si>
  <si>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</si>
  <si>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</si>
  <si>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</si>
  <si>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</si>
  <si>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</si>
  <si>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</si>
  <si>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</si>
  <si>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</si>
  <si>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</si>
  <si>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</si>
  <si>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</si>
  <si>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</si>
  <si>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</si>
  <si>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</si>
  <si>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</si>
  <si>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</si>
  <si>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</si>
  <si>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</si>
  <si>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</si>
  <si>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</si>
  <si>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</si>
  <si>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</si>
  <si>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</si>
  <si>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</si>
  <si>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</si>
  <si>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</si>
  <si>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</si>
  <si>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</si>
  <si>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</si>
  <si>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</si>
  <si>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</si>
  <si>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</si>
  <si>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</si>
  <si>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</si>
  <si>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</si>
  <si>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</si>
  <si>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</si>
  <si>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</si>
  <si>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</si>
  <si>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</si>
  <si>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</si>
  <si>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</si>
  <si>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</si>
  <si>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</si>
  <si>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</si>
  <si>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</si>
  <si>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</si>
  <si>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</si>
  <si>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</si>
  <si>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</si>
  <si>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</si>
  <si>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</si>
  <si>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</si>
  <si>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</si>
  <si>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</si>
  <si>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</si>
  <si>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</si>
  <si>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</si>
  <si>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</si>
  <si>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</si>
  <si>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</si>
  <si>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</si>
  <si>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</si>
  <si>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</si>
  <si>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</si>
  <si>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</si>
  <si>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</si>
  <si>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</si>
  <si>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</si>
  <si>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</si>
  <si>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</si>
  <si>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</si>
  <si>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</si>
  <si>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</si>
  <si>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</si>
  <si>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</si>
  <si>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</si>
  <si>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</si>
  <si>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</si>
  <si>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</si>
  <si>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</si>
  <si>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</si>
  <si>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</si>
  <si>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</si>
  <si>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</si>
  <si>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>Профінансовано на 20.06.2017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</si>
</sst>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76" fontId="1" fillId="0" borderId="0" applyFont="0" applyFill="0" applyBorder="0" applyAlignment="0" applyProtection="0"/>
    <xf numFmtId="0" fontId="61" fillId="47" borderId="12" applyNumberFormat="0" applyAlignment="0" applyProtection="0"/>
    <xf numFmtId="0" fontId="18" fillId="0" borderId="13" applyNumberFormat="0" applyFill="0" applyAlignment="0" applyProtection="0"/>
    <xf numFmtId="0" fontId="62" fillId="51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83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83" fontId="32" fillId="52" borderId="14" xfId="0" applyNumberFormat="1" applyFont="1" applyFill="1" applyBorder="1" applyAlignment="1">
      <alignment horizontal="center" vertical="center" wrapText="1"/>
    </xf>
    <xf numFmtId="184" fontId="32" fillId="52" borderId="14" xfId="0" applyNumberFormat="1" applyFont="1" applyFill="1" applyBorder="1" applyAlignment="1">
      <alignment horizontal="center" vertical="center" wrapText="1"/>
    </xf>
    <xf numFmtId="178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77" fontId="33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84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78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83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77" fontId="33" fillId="53" borderId="14" xfId="0" applyNumberFormat="1" applyFont="1" applyFill="1" applyBorder="1" applyAlignment="1">
      <alignment horizontal="center" vertical="center" wrapText="1"/>
    </xf>
    <xf numFmtId="177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84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84" fontId="33" fillId="53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82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77" fontId="32" fillId="53" borderId="14" xfId="0" applyNumberFormat="1" applyFont="1" applyFill="1" applyBorder="1" applyAlignment="1">
      <alignment horizontal="center" vertic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178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82" fontId="33" fillId="53" borderId="14" xfId="0" applyNumberFormat="1" applyFont="1" applyFill="1" applyBorder="1" applyAlignment="1">
      <alignment horizontal="center" vertical="center" wrapText="1"/>
    </xf>
    <xf numFmtId="184" fontId="32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left" wrapText="1"/>
    </xf>
    <xf numFmtId="0" fontId="41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83" fontId="33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0" fontId="42" fillId="53" borderId="14" xfId="0" applyFont="1" applyFill="1" applyBorder="1" applyAlignment="1">
      <alignment/>
    </xf>
    <xf numFmtId="183" fontId="37" fillId="53" borderId="14" xfId="0" applyNumberFormat="1" applyFont="1" applyFill="1" applyBorder="1" applyAlignment="1">
      <alignment horizontal="center"/>
    </xf>
    <xf numFmtId="183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184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84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84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77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78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52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178" fontId="29" fillId="0" borderId="14" xfId="0" applyNumberFormat="1" applyFont="1" applyBorder="1" applyAlignment="1">
      <alignment horizontal="center"/>
    </xf>
    <xf numFmtId="178" fontId="29" fillId="53" borderId="14" xfId="0" applyNumberFormat="1" applyFont="1" applyFill="1" applyBorder="1" applyAlignment="1">
      <alignment horizontal="center"/>
    </xf>
    <xf numFmtId="49" fontId="36" fillId="35" borderId="14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37" fillId="53" borderId="14" xfId="0" applyNumberFormat="1" applyFont="1" applyFill="1" applyBorder="1" applyAlignment="1">
      <alignment horizontal="left" vertical="center" wrapText="1"/>
    </xf>
    <xf numFmtId="4" fontId="30" fillId="53" borderId="14" xfId="0" applyNumberFormat="1" applyFont="1" applyFill="1" applyBorder="1" applyAlignment="1">
      <alignment horizontal="center" vertical="center"/>
    </xf>
    <xf numFmtId="4" fontId="46" fillId="53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178" fontId="39" fillId="0" borderId="14" xfId="0" applyNumberFormat="1" applyFont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3" fillId="52" borderId="14" xfId="0" applyNumberFormat="1" applyFont="1" applyFill="1" applyBorder="1" applyAlignment="1">
      <alignment horizontal="center" vertical="center"/>
    </xf>
    <xf numFmtId="177" fontId="33" fillId="52" borderId="14" xfId="0" applyNumberFormat="1" applyFont="1" applyFill="1" applyBorder="1" applyAlignment="1">
      <alignment horizontal="center" vertical="center" wrapText="1"/>
    </xf>
    <xf numFmtId="183" fontId="37" fillId="52" borderId="14" xfId="0" applyNumberFormat="1" applyFont="1" applyFill="1" applyBorder="1" applyAlignment="1">
      <alignment horizontal="center" vertical="center" wrapText="1"/>
    </xf>
    <xf numFmtId="182" fontId="33" fillId="52" borderId="14" xfId="0" applyNumberFormat="1" applyFont="1" applyFill="1" applyBorder="1" applyAlignment="1">
      <alignment horizontal="center" vertical="center" wrapText="1"/>
    </xf>
    <xf numFmtId="184" fontId="37" fillId="52" borderId="14" xfId="0" applyNumberFormat="1" applyFont="1" applyFill="1" applyBorder="1" applyAlignment="1">
      <alignment horizontal="center" vertical="center" wrapText="1"/>
    </xf>
    <xf numFmtId="183" fontId="37" fillId="52" borderId="14" xfId="0" applyNumberFormat="1" applyFont="1" applyFill="1" applyBorder="1" applyAlignment="1">
      <alignment horizontal="left" vertical="center" wrapText="1"/>
    </xf>
    <xf numFmtId="0" fontId="40" fillId="52" borderId="14" xfId="0" applyFont="1" applyFill="1" applyBorder="1" applyAlignment="1">
      <alignment/>
    </xf>
    <xf numFmtId="183" fontId="35" fillId="52" borderId="14" xfId="0" applyNumberFormat="1" applyFont="1" applyFill="1" applyBorder="1" applyAlignment="1">
      <alignment horizontal="center" vertical="center" wrapText="1"/>
    </xf>
    <xf numFmtId="178" fontId="38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top" wrapText="1"/>
    </xf>
    <xf numFmtId="2" fontId="29" fillId="52" borderId="16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53" borderId="14" xfId="0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/>
    </xf>
    <xf numFmtId="177" fontId="33" fillId="4" borderId="14" xfId="0" applyNumberFormat="1" applyFont="1" applyFill="1" applyBorder="1" applyAlignment="1">
      <alignment horizontal="center" vertical="center" wrapText="1"/>
    </xf>
    <xf numFmtId="183" fontId="33" fillId="4" borderId="14" xfId="0" applyNumberFormat="1" applyFont="1" applyFill="1" applyBorder="1" applyAlignment="1">
      <alignment horizontal="center" vertical="center" wrapText="1"/>
    </xf>
    <xf numFmtId="4" fontId="33" fillId="4" borderId="14" xfId="0" applyNumberFormat="1" applyFont="1" applyFill="1" applyBorder="1" applyAlignment="1">
      <alignment horizontal="center" vertical="center" wrapText="1"/>
    </xf>
    <xf numFmtId="178" fontId="30" fillId="4" borderId="14" xfId="0" applyNumberFormat="1" applyFont="1" applyFill="1" applyBorder="1" applyAlignment="1">
      <alignment horizontal="center"/>
    </xf>
    <xf numFmtId="2" fontId="30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184" fontId="33" fillId="4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 wrapText="1"/>
    </xf>
    <xf numFmtId="183" fontId="33" fillId="53" borderId="14" xfId="0" applyNumberFormat="1" applyFont="1" applyFill="1" applyBorder="1" applyAlignment="1">
      <alignment horizontal="left" vertical="center" wrapText="1"/>
    </xf>
    <xf numFmtId="178" fontId="30" fillId="53" borderId="14" xfId="0" applyNumberFormat="1" applyFont="1" applyFill="1" applyBorder="1" applyAlignment="1">
      <alignment horizontal="center" vertical="center"/>
    </xf>
    <xf numFmtId="4" fontId="38" fillId="53" borderId="16" xfId="0" applyNumberFormat="1" applyFont="1" applyFill="1" applyBorder="1" applyAlignment="1">
      <alignment horizontal="center" vertical="center" wrapText="1"/>
    </xf>
    <xf numFmtId="0" fontId="32" fillId="53" borderId="14" xfId="0" applyFont="1" applyFill="1" applyBorder="1" applyAlignment="1">
      <alignment horizontal="left" wrapText="1"/>
    </xf>
    <xf numFmtId="177" fontId="29" fillId="53" borderId="14" xfId="0" applyNumberFormat="1" applyFont="1" applyFill="1" applyBorder="1" applyAlignment="1">
      <alignment horizontal="center" vertical="center" wrapText="1"/>
    </xf>
    <xf numFmtId="177" fontId="30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/>
    </xf>
    <xf numFmtId="0" fontId="33" fillId="53" borderId="14" xfId="0" applyFont="1" applyFill="1" applyBorder="1" applyAlignment="1">
      <alignment horizontal="left" vertical="center" wrapText="1"/>
    </xf>
    <xf numFmtId="183" fontId="33" fillId="53" borderId="14" xfId="0" applyNumberFormat="1" applyFont="1" applyFill="1" applyBorder="1" applyAlignment="1">
      <alignment horizontal="center" vertical="center"/>
    </xf>
    <xf numFmtId="183" fontId="37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/>
    </xf>
    <xf numFmtId="4" fontId="30" fillId="53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38" fillId="0" borderId="16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47" fillId="53" borderId="14" xfId="0" applyFont="1" applyFill="1" applyBorder="1" applyAlignment="1">
      <alignment horizontal="left" wrapText="1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AD1">
      <selection activeCell="AH8" sqref="AH8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  <col min="37" max="37" width="18.5" style="0" customWidth="1"/>
  </cols>
  <sheetData>
    <row r="1" ht="12.75">
      <c r="AG1" s="4"/>
    </row>
    <row r="2" ht="12.75">
      <c r="AG2" s="6"/>
    </row>
    <row r="3" ht="12.75"/>
    <row r="4" spans="2:33" ht="18.75">
      <c r="B4" s="280" t="s">
        <v>192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</row>
    <row r="5" spans="1:35" ht="20.25" customHeight="1">
      <c r="A5" s="253" t="s">
        <v>111</v>
      </c>
      <c r="B5" s="7"/>
      <c r="C5" s="254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56" t="s">
        <v>43</v>
      </c>
      <c r="K5" s="256" t="s">
        <v>44</v>
      </c>
      <c r="L5" s="256" t="s">
        <v>45</v>
      </c>
      <c r="M5" s="256" t="s">
        <v>46</v>
      </c>
      <c r="N5" s="285" t="s">
        <v>47</v>
      </c>
      <c r="O5" s="286"/>
      <c r="P5" s="287"/>
      <c r="Q5" s="258" t="s">
        <v>48</v>
      </c>
      <c r="R5" s="258" t="s">
        <v>49</v>
      </c>
      <c r="S5" s="260" t="s">
        <v>50</v>
      </c>
      <c r="T5" s="261"/>
      <c r="U5" s="10"/>
      <c r="V5" s="262" t="s">
        <v>51</v>
      </c>
      <c r="W5" s="262" t="s">
        <v>52</v>
      </c>
      <c r="X5" s="262" t="s">
        <v>53</v>
      </c>
      <c r="Y5" s="265" t="s">
        <v>54</v>
      </c>
      <c r="Z5" s="267" t="s">
        <v>55</v>
      </c>
      <c r="AA5" s="275" t="s">
        <v>56</v>
      </c>
      <c r="AB5" s="275" t="s">
        <v>57</v>
      </c>
      <c r="AC5" s="273" t="s">
        <v>58</v>
      </c>
      <c r="AD5" s="133"/>
      <c r="AI5" s="11" t="s">
        <v>59</v>
      </c>
    </row>
    <row r="6" spans="1:35" ht="19.5">
      <c r="A6" s="253"/>
      <c r="B6" s="256" t="s">
        <v>60</v>
      </c>
      <c r="C6" s="255"/>
      <c r="D6" s="256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57"/>
      <c r="K6" s="257"/>
      <c r="L6" s="257"/>
      <c r="M6" s="257"/>
      <c r="N6" s="288"/>
      <c r="O6" s="289"/>
      <c r="P6" s="290"/>
      <c r="Q6" s="259"/>
      <c r="R6" s="259"/>
      <c r="S6" s="251" t="s">
        <v>97</v>
      </c>
      <c r="T6" s="252"/>
      <c r="U6" s="14"/>
      <c r="V6" s="263"/>
      <c r="W6" s="263"/>
      <c r="X6" s="263"/>
      <c r="Y6" s="266"/>
      <c r="Z6" s="268"/>
      <c r="AA6" s="276"/>
      <c r="AB6" s="276"/>
      <c r="AC6" s="274"/>
      <c r="AD6" s="283" t="s">
        <v>98</v>
      </c>
      <c r="AE6" s="281" t="s">
        <v>48</v>
      </c>
      <c r="AF6" s="281" t="s">
        <v>49</v>
      </c>
      <c r="AG6" s="150" t="s">
        <v>50</v>
      </c>
      <c r="AH6" s="275" t="s">
        <v>247</v>
      </c>
      <c r="AI6" s="279" t="s">
        <v>41</v>
      </c>
    </row>
    <row r="7" spans="1:35" ht="36.75" customHeight="1">
      <c r="A7" s="15">
        <v>1</v>
      </c>
      <c r="B7" s="257"/>
      <c r="C7" s="130">
        <v>1</v>
      </c>
      <c r="D7" s="25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4"/>
      <c r="AE7" s="282"/>
      <c r="AF7" s="282"/>
      <c r="AG7" s="149" t="s">
        <v>97</v>
      </c>
      <c r="AH7" s="276"/>
      <c r="AI7" s="279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1982126.08</v>
      </c>
      <c r="AI8" s="33">
        <f aca="true" t="shared" si="1" ref="AI8:AI52">AH8/AF8*100</f>
        <v>14.922378304151726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</f>
        <v>1471894.6</v>
      </c>
      <c r="AI9" s="75">
        <f t="shared" si="1"/>
        <v>50.23531058020478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81"/>
      <c r="AI10" s="75">
        <f t="shared" si="1"/>
        <v>0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81"/>
      <c r="AI11" s="75">
        <f t="shared" si="1"/>
        <v>0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81"/>
      <c r="AI12" s="75">
        <f t="shared" si="1"/>
        <v>0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81"/>
      <c r="AI13" s="75">
        <f t="shared" si="1"/>
        <v>0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81"/>
      <c r="AI14" s="75">
        <f t="shared" si="1"/>
        <v>0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81"/>
      <c r="AI15" s="75">
        <f t="shared" si="1"/>
        <v>0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81"/>
      <c r="AI16" s="75">
        <f t="shared" si="1"/>
        <v>0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81"/>
      <c r="AI17" s="75">
        <f t="shared" si="1"/>
        <v>0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81"/>
      <c r="AI18" s="75">
        <f t="shared" si="1"/>
        <v>0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81"/>
      <c r="AI19" s="75">
        <f t="shared" si="1"/>
        <v>0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81"/>
      <c r="AI20" s="75">
        <f t="shared" si="1"/>
        <v>0</v>
      </c>
    </row>
    <row r="21" spans="1:35" s="147" customFormat="1" ht="37.5">
      <c r="A21" s="138"/>
      <c r="B21" s="151" t="s">
        <v>1</v>
      </c>
      <c r="C21" s="139"/>
      <c r="D21" s="21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81"/>
      <c r="AI21" s="75">
        <f t="shared" si="1"/>
        <v>0</v>
      </c>
    </row>
    <row r="22" spans="1:35" s="147" customFormat="1" ht="37.5">
      <c r="A22" s="138"/>
      <c r="B22" s="151" t="s">
        <v>2</v>
      </c>
      <c r="C22" s="139"/>
      <c r="D22" s="21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8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8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8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8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8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81"/>
      <c r="AI34" s="75">
        <f t="shared" si="1"/>
        <v>0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/>
      <c r="AI35" s="75">
        <f t="shared" si="1"/>
        <v>0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239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240</v>
      </c>
      <c r="C47" s="139"/>
      <c r="D47" s="124" t="s">
        <v>241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242</v>
      </c>
      <c r="C48" s="139"/>
      <c r="D48" s="124" t="s">
        <v>243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244</v>
      </c>
      <c r="C49" s="139"/>
      <c r="D49" s="124" t="s">
        <v>245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246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162328.1</v>
      </c>
      <c r="AI51" s="33">
        <f t="shared" si="1"/>
        <v>2.387177941176471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</f>
        <v>162328.1</v>
      </c>
      <c r="AI52" s="75">
        <f t="shared" si="1"/>
        <v>2.387177941176471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27860802.250000007</v>
      </c>
      <c r="AI53" s="33">
        <f aca="true" t="shared" si="6" ref="AI53:AI85">AH53/AE53*100</f>
        <v>46.34844753289017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23">
        <v>4945</v>
      </c>
      <c r="F54" s="223" t="e">
        <f>4797.2+#REF!</f>
        <v>#REF!</v>
      </c>
      <c r="G54" s="223">
        <v>516.2</v>
      </c>
      <c r="H54" s="223">
        <v>4326</v>
      </c>
      <c r="I54" s="223">
        <f>7616.03-3700.736</f>
        <v>3915.294</v>
      </c>
      <c r="J54" s="223">
        <v>3323</v>
      </c>
      <c r="K54" s="223">
        <v>4326</v>
      </c>
      <c r="L54" s="223" t="s">
        <v>64</v>
      </c>
      <c r="M54" s="224">
        <f>M55+M56+M58+M57</f>
        <v>7956400</v>
      </c>
      <c r="N54" s="224">
        <f>N55+N56+N58+N57</f>
        <v>0</v>
      </c>
      <c r="O54" s="224">
        <f>O55+O56+O58+O57</f>
        <v>20746400</v>
      </c>
      <c r="P54" s="225">
        <f>P55+P56+P58+P57+P60</f>
        <v>11194558.2</v>
      </c>
      <c r="Q54" s="224">
        <f aca="true" t="shared" si="7" ref="Q54:V54">Q55+Q56+Q58+Q57</f>
        <v>10373200</v>
      </c>
      <c r="R54" s="224">
        <f t="shared" si="7"/>
        <v>0</v>
      </c>
      <c r="S54" s="224">
        <f t="shared" si="7"/>
        <v>0</v>
      </c>
      <c r="T54" s="224">
        <f t="shared" si="7"/>
        <v>7206768.960000001</v>
      </c>
      <c r="U54" s="224">
        <f t="shared" si="7"/>
        <v>0</v>
      </c>
      <c r="V54" s="224">
        <f t="shared" si="7"/>
        <v>13605960.81</v>
      </c>
      <c r="W54" s="224"/>
      <c r="X54" s="224">
        <f>X55+X56+X58</f>
        <v>7425268.960000001</v>
      </c>
      <c r="Y54" s="226">
        <f>X54/P54*100</f>
        <v>66.32927202075737</v>
      </c>
      <c r="Z54" s="225">
        <f>Z55+Z56+Z58+Z57+Z60</f>
        <v>14501241.25</v>
      </c>
      <c r="AA54" s="224">
        <f t="shared" si="4"/>
        <v>129.5383077288392</v>
      </c>
      <c r="AB54" s="227">
        <f t="shared" si="5"/>
        <v>3306683.0500000007</v>
      </c>
      <c r="AC54" s="228"/>
      <c r="AD54" s="186">
        <f t="shared" si="3"/>
        <v>13853491.25</v>
      </c>
      <c r="AE54" s="65">
        <f>AE55+AE56+AE58+AE57+AE60+AE59</f>
        <v>13853491.25</v>
      </c>
      <c r="AF54" s="65"/>
      <c r="AG54" s="230"/>
      <c r="AH54" s="231">
        <f>AH55+AH56+AH58+AH59+AH60</f>
        <v>5749243.5200000005</v>
      </c>
      <c r="AI54" s="193">
        <f t="shared" si="6"/>
        <v>41.50032231045009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189">
        <f>451196.53+332740.16-66.81+399426.96+233852.31</f>
        <v>1417149.15</v>
      </c>
      <c r="AI55" s="75">
        <f t="shared" si="6"/>
        <v>33.07295668043588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189">
        <f>1043663.87+1051800.53+937923.95+734004.17</f>
        <v>3767392.5199999996</v>
      </c>
      <c r="AI56" s="75">
        <f t="shared" si="6"/>
        <v>46.72689946383126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77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78" t="s">
        <v>70</v>
      </c>
      <c r="AD57" s="148">
        <f t="shared" si="3"/>
        <v>0</v>
      </c>
      <c r="AE57" s="54">
        <v>0</v>
      </c>
      <c r="AF57" s="22"/>
      <c r="AG57" s="22"/>
      <c r="AH57" s="189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77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78"/>
      <c r="AD58" s="148">
        <f t="shared" si="3"/>
        <v>477177</v>
      </c>
      <c r="AE58" s="54">
        <v>477177</v>
      </c>
      <c r="AF58" s="22"/>
      <c r="AG58" s="22"/>
      <c r="AH58" s="221">
        <f>70531.7+6772.4+32179.65+4172.4+2000+32179.65+4772.4+2000+33654.16</f>
        <v>188262.36</v>
      </c>
      <c r="AI58" s="75">
        <f t="shared" si="6"/>
        <v>39.45336007393483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22">
        <f>24557.74+11948.26</f>
        <v>36506</v>
      </c>
      <c r="AI59" s="75">
        <f t="shared" si="6"/>
        <v>27.337536880887836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189">
        <f>137394.42+66136.03+68723.5+67679.54</f>
        <v>339933.49</v>
      </c>
      <c r="AI60" s="75">
        <f t="shared" si="6"/>
        <v>37.969498138482734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30"/>
      <c r="S61" s="230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32">
        <f>Z61-P61</f>
        <v>6050560</v>
      </c>
      <c r="AC61" s="230"/>
      <c r="AD61" s="186">
        <f t="shared" si="3"/>
        <v>6162464.640000001</v>
      </c>
      <c r="AE61" s="197">
        <f>AE62+AE63+AE67+AE65+AE66+AE68</f>
        <v>6162464.640000001</v>
      </c>
      <c r="AF61" s="230"/>
      <c r="AG61" s="230"/>
      <c r="AH61" s="222">
        <f>AH62+AH63+AH65+AH66+AH67+AH68</f>
        <v>3454333</v>
      </c>
      <c r="AI61" s="75">
        <f t="shared" si="6"/>
        <v>56.05440682901832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191">
        <f>54575+145257+242875+44400</f>
        <v>487107</v>
      </c>
      <c r="AI62" s="75">
        <f t="shared" si="6"/>
        <v>25.04266909249921</v>
      </c>
      <c r="AK62" s="220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190">
        <f>154575+135696+49300</f>
        <v>339571</v>
      </c>
      <c r="AI63" s="75">
        <f t="shared" si="6"/>
        <v>83.93110931502312</v>
      </c>
      <c r="AK63" s="220"/>
    </row>
    <row r="64" spans="1:35" ht="47.25" customHeight="1">
      <c r="A64" s="38"/>
      <c r="B64" s="38"/>
      <c r="C64" s="39"/>
      <c r="D64" s="249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5">
        <f>AE64</f>
        <v>50000</v>
      </c>
      <c r="AE64" s="49">
        <v>50000</v>
      </c>
      <c r="AF64" s="22"/>
      <c r="AG64" s="22"/>
      <c r="AH64" s="190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190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2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190">
        <v>125250</v>
      </c>
      <c r="AI66" s="108">
        <f t="shared" si="6"/>
        <v>45.97815074225805</v>
      </c>
      <c r="AK66" s="220"/>
    </row>
    <row r="67" spans="1:35" ht="36.75" customHeight="1">
      <c r="A67" s="38"/>
      <c r="B67" s="38"/>
      <c r="C67" s="272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190">
        <f>650252+225720+335728+255610+322330+98235+227636+69632+220062+47200</f>
        <v>2452405</v>
      </c>
      <c r="AI67" s="108">
        <f t="shared" si="6"/>
        <v>74.87078801081167</v>
      </c>
    </row>
    <row r="68" spans="1:35" ht="19.5" customHeight="1">
      <c r="A68" s="38"/>
      <c r="B68" s="38"/>
      <c r="C68" s="272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190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23">
        <f>256.5+80.3</f>
        <v>336.8</v>
      </c>
      <c r="F69" s="223">
        <f>E69</f>
        <v>336.8</v>
      </c>
      <c r="G69" s="223">
        <f>74+23.5</f>
        <v>97.5</v>
      </c>
      <c r="H69" s="223">
        <f>F69-G69</f>
        <v>239.3</v>
      </c>
      <c r="I69" s="223">
        <f>1056.05-187.9-170</f>
        <v>698.15</v>
      </c>
      <c r="J69" s="223">
        <v>74.25</v>
      </c>
      <c r="K69" s="223">
        <v>239.3</v>
      </c>
      <c r="L69" s="223"/>
      <c r="M69" s="229">
        <f>M71+M72+M70</f>
        <v>625900</v>
      </c>
      <c r="N69" s="223" t="s">
        <v>64</v>
      </c>
      <c r="O69" s="229">
        <f>P69+Q69</f>
        <v>1251800</v>
      </c>
      <c r="P69" s="225">
        <f>Q69+R69</f>
        <v>625900</v>
      </c>
      <c r="Q69" s="224">
        <f>Q70+Q71+Q72</f>
        <v>625900</v>
      </c>
      <c r="R69" s="228"/>
      <c r="S69" s="228"/>
      <c r="T69" s="224">
        <f>T70+T71+T72</f>
        <v>441324.46</v>
      </c>
      <c r="U69" s="224"/>
      <c r="V69" s="229">
        <f>V71+V72+V70</f>
        <v>637789.921</v>
      </c>
      <c r="W69" s="229"/>
      <c r="X69" s="224">
        <f>X70+X71+X72</f>
        <v>441324.46</v>
      </c>
      <c r="Y69" s="226">
        <f t="shared" si="9"/>
        <v>70.51037865473718</v>
      </c>
      <c r="Z69" s="225">
        <f>Z70+Z71+Z72</f>
        <v>1169762.37</v>
      </c>
      <c r="AA69" s="224">
        <f t="shared" si="10"/>
        <v>186.892853490973</v>
      </c>
      <c r="AB69" s="227">
        <f t="shared" si="11"/>
        <v>543862.3700000001</v>
      </c>
      <c r="AC69" s="228"/>
      <c r="AD69" s="186">
        <f t="shared" si="8"/>
        <v>810557.5100000001</v>
      </c>
      <c r="AE69" s="65">
        <f>AE70+AE71+AE72</f>
        <v>810557.5100000001</v>
      </c>
      <c r="AF69" s="230"/>
      <c r="AG69" s="230"/>
      <c r="AH69" s="222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69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22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69"/>
      <c r="AD71" s="186">
        <f t="shared" si="8"/>
        <v>86161.65</v>
      </c>
      <c r="AE71" s="59">
        <f>Z71</f>
        <v>86161.65</v>
      </c>
      <c r="AF71" s="136"/>
      <c r="AG71" s="136"/>
      <c r="AH71" s="222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69"/>
      <c r="AD72" s="186">
        <f t="shared" si="8"/>
        <v>228297.61</v>
      </c>
      <c r="AE72" s="59">
        <f>Z72</f>
        <v>228297.61</v>
      </c>
      <c r="AF72" s="88"/>
      <c r="AG72" s="136"/>
      <c r="AH72" s="222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32">
        <f t="shared" si="11"/>
        <v>357800</v>
      </c>
      <c r="AC73" s="270" t="s">
        <v>117</v>
      </c>
      <c r="AD73" s="186">
        <f t="shared" si="8"/>
        <v>2653600</v>
      </c>
      <c r="AE73" s="65">
        <f>AE74+AE75+AE76+AE77</f>
        <v>2653600</v>
      </c>
      <c r="AF73" s="230"/>
      <c r="AG73" s="230"/>
      <c r="AH73" s="222">
        <f>AH74+AH75+AH76+AH77</f>
        <v>1193494.5</v>
      </c>
      <c r="AI73" s="75">
        <f t="shared" si="6"/>
        <v>44.97642824841724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0"/>
      <c r="AD74" s="186">
        <f t="shared" si="8"/>
        <v>1878100</v>
      </c>
      <c r="AE74" s="59">
        <f>1705300+172800</f>
        <v>1878100</v>
      </c>
      <c r="AF74" s="88"/>
      <c r="AG74" s="136"/>
      <c r="AH74" s="221">
        <f>62630.03+17956.55+3950.44+29559.27+4385.59+44800+12555.8+15675.08+2632+17925+3943.5+218000+10667.41+29867.04+145343.16+39161.52+6301.59+26665+20410+19200+39504.93+36820.52+5556.56+48661.91+16730+3680</f>
        <v>882582.9000000001</v>
      </c>
      <c r="AI74" s="75">
        <f t="shared" si="6"/>
        <v>46.99339225813323</v>
      </c>
      <c r="AK74" s="220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0"/>
      <c r="AD75" s="186">
        <f t="shared" si="8"/>
        <v>36100</v>
      </c>
      <c r="AE75" s="59">
        <f>Z75</f>
        <v>36100</v>
      </c>
      <c r="AF75" s="136"/>
      <c r="AG75" s="88"/>
      <c r="AH75" s="221">
        <f>10774.62+6345.33</f>
        <v>17119.95</v>
      </c>
      <c r="AI75" s="75">
        <f t="shared" si="6"/>
        <v>47.42368421052632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0"/>
      <c r="AD76" s="186">
        <f t="shared" si="8"/>
        <v>29200</v>
      </c>
      <c r="AE76" s="59">
        <f>Z77</f>
        <v>29200</v>
      </c>
      <c r="AF76" s="136"/>
      <c r="AG76" s="88"/>
      <c r="AH76" s="221">
        <f>991.77+516.4+534.22+353.35</f>
        <v>2395.7400000000002</v>
      </c>
      <c r="AI76" s="75">
        <f t="shared" si="6"/>
        <v>8.204589041095891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0"/>
      <c r="AD77" s="186">
        <f t="shared" si="8"/>
        <v>710200</v>
      </c>
      <c r="AE77" s="59">
        <f>680402.75+29797.25</f>
        <v>710200</v>
      </c>
      <c r="AF77" s="136"/>
      <c r="AG77" s="88"/>
      <c r="AH77" s="221">
        <f>94143.81+11352.5+2497.55+26627.8+5858.11+9600+11352.5+2497.55+1195.2+23010+21462.63+4805.26+19681.65+31099.8+6841.95+1970.08+433.42+3845+10755+2366.1</f>
        <v>291395.91</v>
      </c>
      <c r="AI77" s="75">
        <f t="shared" si="6"/>
        <v>41.03011968459588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33"/>
      <c r="R78" s="230"/>
      <c r="S78" s="230"/>
      <c r="T78" s="233"/>
      <c r="U78" s="233"/>
      <c r="V78" s="89"/>
      <c r="W78" s="89"/>
      <c r="X78" s="233"/>
      <c r="Y78" s="234"/>
      <c r="Z78" s="65" t="e">
        <f>Z79+Z80+#REF!+Z81+Z82</f>
        <v>#REF!</v>
      </c>
      <c r="AA78" s="89"/>
      <c r="AB78" s="232"/>
      <c r="AC78" s="230"/>
      <c r="AD78" s="186">
        <f t="shared" si="8"/>
        <v>26927959.392149</v>
      </c>
      <c r="AE78" s="65">
        <f>AE79+AE80+AE81+AE82+AE83</f>
        <v>26927959.392149</v>
      </c>
      <c r="AF78" s="230"/>
      <c r="AG78" s="230"/>
      <c r="AH78" s="222">
        <f>AH79+AH80+AH81+AH82</f>
        <v>13705193.510000002</v>
      </c>
      <c r="AI78" s="75">
        <f t="shared" si="6"/>
        <v>50.89577457546163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22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21">
        <f>5188613.57+805957.41+217308.34+168393.6+248352.38+168297.6+725973.54+436443.28+77738.63+398809.3+124176.19+431084.58+345928.06+369501.07+177428.71+452843.89+278796.45+112957.7+364145.65</f>
        <v>11092749.950000001</v>
      </c>
      <c r="AI80" s="75">
        <f t="shared" si="6"/>
        <v>53.947074878869486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22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22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22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30"/>
      <c r="S84" s="230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7">
        <v>346347.28</v>
      </c>
      <c r="AA84" s="89">
        <f>Z84/P84*100</f>
        <v>134.7654785992218</v>
      </c>
      <c r="AB84" s="232">
        <f>Z84-P84</f>
        <v>89347.28000000003</v>
      </c>
      <c r="AC84" s="230"/>
      <c r="AD84" s="186">
        <f t="shared" si="8"/>
        <v>277817</v>
      </c>
      <c r="AE84" s="197">
        <f>P84+P84*8.1%</f>
        <v>277817</v>
      </c>
      <c r="AF84" s="230"/>
      <c r="AG84" s="230"/>
      <c r="AH84" s="222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30"/>
      <c r="S85" s="230"/>
      <c r="T85" s="89"/>
      <c r="U85" s="89"/>
      <c r="V85" s="89"/>
      <c r="W85" s="89"/>
      <c r="X85" s="89"/>
      <c r="Y85" s="75"/>
      <c r="Z85" s="197"/>
      <c r="AA85" s="89"/>
      <c r="AB85" s="232"/>
      <c r="AC85" s="230"/>
      <c r="AD85" s="235">
        <f t="shared" si="8"/>
        <v>277817</v>
      </c>
      <c r="AE85" s="59">
        <f>AE84</f>
        <v>277817</v>
      </c>
      <c r="AF85" s="230"/>
      <c r="AG85" s="230"/>
      <c r="AH85" s="222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7">
        <f>Z87</f>
        <v>17397438</v>
      </c>
      <c r="AA86" s="89">
        <f aca="true" t="shared" si="13" ref="AA86:AA92">Z86/P86*100</f>
        <v>901.0092198935714</v>
      </c>
      <c r="AB86" s="232">
        <f aca="true" t="shared" si="14" ref="AB86:AB92">Z86-P86</f>
        <v>15466554.54</v>
      </c>
      <c r="AC86" s="63"/>
      <c r="AD86" s="186">
        <f t="shared" si="8"/>
        <v>7173700</v>
      </c>
      <c r="AE86" s="197">
        <f>AE87+AE93</f>
        <v>7173700</v>
      </c>
      <c r="AF86" s="230"/>
      <c r="AG86" s="230"/>
      <c r="AH86" s="222">
        <f>AH87</f>
        <v>2947866.19</v>
      </c>
      <c r="AI86" s="75">
        <f aca="true" t="shared" si="15" ref="AI86:AI112">AH86/AE86*100</f>
        <v>41.092688431353416</v>
      </c>
    </row>
    <row r="87" spans="1:37" ht="57" customHeight="1">
      <c r="A87" s="36"/>
      <c r="B87" s="36"/>
      <c r="C87" s="39"/>
      <c r="D87" s="55" t="s">
        <v>235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5">
        <f t="shared" si="8"/>
        <v>7023700</v>
      </c>
      <c r="AE87" s="198">
        <v>7023700</v>
      </c>
      <c r="AF87" s="63"/>
      <c r="AG87" s="63"/>
      <c r="AH87" s="201">
        <f>956537.59+157430.78+70729.77+216774.62+262291.41+34296+344138.34+1517.33+279207.2+343997.88+2676.91+268283.02+9985.34</f>
        <v>2947866.19</v>
      </c>
      <c r="AI87" s="69">
        <f t="shared" si="15"/>
        <v>41.97027478394578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5">
        <f t="shared" si="8"/>
        <v>0</v>
      </c>
      <c r="AE88" s="59"/>
      <c r="AF88" s="136"/>
      <c r="AG88" s="136"/>
      <c r="AH88" s="202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5">
        <f t="shared" si="8"/>
        <v>0</v>
      </c>
      <c r="AE89" s="59"/>
      <c r="AF89" s="136"/>
      <c r="AG89" s="136"/>
      <c r="AH89" s="202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6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7">
        <f>25447.6+198</f>
        <v>25645.6</v>
      </c>
      <c r="J90" s="237">
        <v>10120.4</v>
      </c>
      <c r="K90" s="73">
        <v>21229.7</v>
      </c>
      <c r="L90" s="237"/>
      <c r="M90" s="74">
        <f>M91+M92</f>
        <v>25052300</v>
      </c>
      <c r="N90" s="237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5">
        <f t="shared" si="8"/>
        <v>0</v>
      </c>
      <c r="AE90" s="59"/>
      <c r="AF90" s="136"/>
      <c r="AG90" s="136"/>
      <c r="AH90" s="202"/>
      <c r="AI90" s="69" t="e">
        <f t="shared" si="15"/>
        <v>#DIV/0!</v>
      </c>
    </row>
    <row r="91" spans="1:35" ht="56.25" hidden="1">
      <c r="A91" s="38"/>
      <c r="B91" s="38"/>
      <c r="C91" s="271" t="s">
        <v>145</v>
      </c>
      <c r="D91" s="168" t="s">
        <v>91</v>
      </c>
      <c r="E91" s="56"/>
      <c r="F91" s="56"/>
      <c r="G91" s="56"/>
      <c r="H91" s="56"/>
      <c r="I91" s="238"/>
      <c r="J91" s="238"/>
      <c r="K91" s="238"/>
      <c r="L91" s="239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5">
        <f t="shared" si="8"/>
        <v>0</v>
      </c>
      <c r="AE91" s="59"/>
      <c r="AF91" s="136"/>
      <c r="AG91" s="136"/>
      <c r="AH91" s="240"/>
      <c r="AI91" s="69" t="e">
        <f t="shared" si="15"/>
        <v>#DIV/0!</v>
      </c>
    </row>
    <row r="92" spans="1:35" ht="56.25" hidden="1">
      <c r="A92" s="38"/>
      <c r="B92" s="38"/>
      <c r="C92" s="271"/>
      <c r="D92" s="196" t="s">
        <v>92</v>
      </c>
      <c r="E92" s="56"/>
      <c r="F92" s="56"/>
      <c r="G92" s="56"/>
      <c r="H92" s="56"/>
      <c r="I92" s="238"/>
      <c r="J92" s="238"/>
      <c r="K92" s="238"/>
      <c r="L92" s="239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5">
        <f t="shared" si="8"/>
        <v>0</v>
      </c>
      <c r="AE92" s="59"/>
      <c r="AF92" s="136"/>
      <c r="AG92" s="136"/>
      <c r="AH92" s="202"/>
      <c r="AI92" s="69" t="e">
        <f t="shared" si="15"/>
        <v>#DIV/0!</v>
      </c>
    </row>
    <row r="93" spans="1:35" ht="37.5">
      <c r="A93" s="38"/>
      <c r="B93" s="38"/>
      <c r="C93" s="194"/>
      <c r="D93" s="196" t="s">
        <v>221</v>
      </c>
      <c r="E93" s="56"/>
      <c r="F93" s="56"/>
      <c r="G93" s="56"/>
      <c r="H93" s="56"/>
      <c r="I93" s="238"/>
      <c r="J93" s="238"/>
      <c r="K93" s="238"/>
      <c r="L93" s="239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5">
        <f>AE93</f>
        <v>150000</v>
      </c>
      <c r="AE93" s="59">
        <v>150000</v>
      </c>
      <c r="AF93" s="136"/>
      <c r="AG93" s="136"/>
      <c r="AH93" s="201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7">
        <f>Z95+Z96</f>
        <v>212856.4</v>
      </c>
      <c r="AA94" s="89"/>
      <c r="AB94" s="232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7">
        <f>AE95+AE96</f>
        <v>212856.4</v>
      </c>
      <c r="AF94" s="230"/>
      <c r="AG94" s="230"/>
      <c r="AH94" s="222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5">
        <f t="shared" si="17"/>
        <v>100000</v>
      </c>
      <c r="AE95" s="59">
        <v>100000</v>
      </c>
      <c r="AF95" s="136"/>
      <c r="AG95" s="136"/>
      <c r="AH95" s="201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5">
        <f t="shared" si="17"/>
        <v>112856.4</v>
      </c>
      <c r="AE96" s="59">
        <v>112856.4</v>
      </c>
      <c r="AF96" s="136"/>
      <c r="AG96" s="136"/>
      <c r="AH96" s="201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41" t="s">
        <v>154</v>
      </c>
      <c r="E97" s="95"/>
      <c r="F97" s="95"/>
      <c r="G97" s="95"/>
      <c r="H97" s="95"/>
      <c r="I97" s="95"/>
      <c r="J97" s="95"/>
      <c r="K97" s="95"/>
      <c r="L97" s="95"/>
      <c r="M97" s="242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43">
        <f>Q99+Q98</f>
        <v>1033500</v>
      </c>
      <c r="R97" s="68"/>
      <c r="S97" s="68"/>
      <c r="T97" s="243">
        <f>T99+T98</f>
        <v>669069.4899999999</v>
      </c>
      <c r="U97" s="243"/>
      <c r="V97" s="243">
        <f>V99+V98</f>
        <v>1189112</v>
      </c>
      <c r="W97" s="67"/>
      <c r="X97" s="243">
        <f>X99+X98</f>
        <v>669069.4899999999</v>
      </c>
      <c r="Y97" s="69">
        <f>X97/P97*100</f>
        <v>64.73821867440735</v>
      </c>
      <c r="Z97" s="244">
        <f>Z99+Z98</f>
        <v>1189112</v>
      </c>
      <c r="AA97" s="67">
        <f t="shared" si="18"/>
        <v>115.05679729075955</v>
      </c>
      <c r="AB97" s="80">
        <f t="shared" si="16"/>
        <v>155612</v>
      </c>
      <c r="AC97" s="264" t="s">
        <v>155</v>
      </c>
      <c r="AD97" s="186">
        <f t="shared" si="17"/>
        <v>1189112</v>
      </c>
      <c r="AE97" s="245">
        <v>1189112</v>
      </c>
      <c r="AF97" s="246"/>
      <c r="AG97" s="246"/>
      <c r="AH97" s="222">
        <f>AH98+AH99</f>
        <v>75598.17</v>
      </c>
      <c r="AI97" s="75">
        <f t="shared" si="15"/>
        <v>6.357531502499344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64"/>
      <c r="AD98" s="235">
        <f t="shared" si="17"/>
        <v>1089113.5</v>
      </c>
      <c r="AE98" s="98">
        <f>Z98</f>
        <v>1089113.5</v>
      </c>
      <c r="AF98" s="136"/>
      <c r="AG98" s="136"/>
      <c r="AH98" s="201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64"/>
      <c r="AD99" s="235">
        <f t="shared" si="17"/>
        <v>99998.5</v>
      </c>
      <c r="AE99" s="98">
        <f>Z99</f>
        <v>99998.5</v>
      </c>
      <c r="AF99" s="136"/>
      <c r="AG99" s="136"/>
      <c r="AH99" s="202">
        <f>3627.67+2979.18+4331.94</f>
        <v>10938.79</v>
      </c>
      <c r="AI99" s="69">
        <f t="shared" si="15"/>
        <v>10.938954084311266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7">
        <v>208100</v>
      </c>
      <c r="AA100" s="89">
        <f t="shared" si="18"/>
        <v>352.03881392862456</v>
      </c>
      <c r="AB100" s="232">
        <f t="shared" si="16"/>
        <v>148987.2</v>
      </c>
      <c r="AC100" s="63" t="s">
        <v>162</v>
      </c>
      <c r="AD100" s="186">
        <f t="shared" si="17"/>
        <v>76052.53</v>
      </c>
      <c r="AE100" s="197">
        <f>P100+11241.06+5698.67</f>
        <v>76052.53</v>
      </c>
      <c r="AF100" s="230"/>
      <c r="AG100" s="230"/>
      <c r="AH100" s="221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7">
        <v>62426.4</v>
      </c>
      <c r="AA101" s="89">
        <f t="shared" si="18"/>
        <v>231.20888888888888</v>
      </c>
      <c r="AB101" s="232">
        <f t="shared" si="16"/>
        <v>35426.4</v>
      </c>
      <c r="AC101" s="63" t="s">
        <v>84</v>
      </c>
      <c r="AD101" s="186">
        <f t="shared" si="17"/>
        <v>107172</v>
      </c>
      <c r="AE101" s="197">
        <f>62426.4+44745.6</f>
        <v>107172</v>
      </c>
      <c r="AF101" s="230"/>
      <c r="AG101" s="230"/>
      <c r="AH101" s="222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6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31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21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6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31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21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6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31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21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6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3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21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7"/>
      <c r="AF106" s="136"/>
      <c r="AG106" s="136"/>
      <c r="AH106" s="221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7"/>
      <c r="AF107" s="136"/>
      <c r="AG107" s="136"/>
      <c r="AH107" s="221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7"/>
      <c r="AF108" s="136"/>
      <c r="AG108" s="136"/>
      <c r="AH108" s="221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237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7">
        <v>11806.56</v>
      </c>
      <c r="AF109" s="136"/>
      <c r="AG109" s="136"/>
      <c r="AH109" s="222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8" t="s">
        <v>238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5">
        <f>AE110</f>
        <v>666836.4</v>
      </c>
      <c r="AE110" s="125">
        <v>666836.4</v>
      </c>
      <c r="AF110" s="22"/>
      <c r="AG110" s="22"/>
      <c r="AH110" s="222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0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8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0"/>
      <c r="AC112" s="22"/>
      <c r="AD112" s="195">
        <f>AE112+AF112</f>
        <v>30700</v>
      </c>
      <c r="AE112" s="49">
        <v>30700</v>
      </c>
      <c r="AF112" s="81"/>
      <c r="AG112" s="81"/>
      <c r="AH112" s="219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82443.06000000001</v>
      </c>
      <c r="AI113" s="33">
        <f>AH113/AD113*100</f>
        <v>10.599665791210999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82443.06000000001</v>
      </c>
      <c r="AI114" s="192">
        <f>AH114/AD114*100</f>
        <v>10.599665791210999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5">
        <f>AE115+AF115</f>
        <v>777789.24</v>
      </c>
      <c r="AE115" s="59">
        <v>777789.24</v>
      </c>
      <c r="AF115" s="22"/>
      <c r="AG115" s="22"/>
      <c r="AH115" s="199">
        <f>11291.3+9563.01+9331.63+11197.95+10805.05+9724.53+8211.82+12317.77</f>
        <v>82443.06000000001</v>
      </c>
      <c r="AI115" s="200">
        <f>AH115/AD115*100</f>
        <v>10.599665791210999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5"/>
      <c r="AE116" s="59"/>
      <c r="AF116" s="22"/>
      <c r="AG116" s="22"/>
      <c r="AH116" s="203"/>
      <c r="AI116" s="200"/>
    </row>
    <row r="117" spans="1:35" ht="36.75" customHeight="1">
      <c r="A117" s="36"/>
      <c r="B117" s="110" t="s">
        <v>168</v>
      </c>
      <c r="C117" s="204"/>
      <c r="D117" s="112" t="s">
        <v>222</v>
      </c>
      <c r="E117" s="205"/>
      <c r="F117" s="205"/>
      <c r="G117" s="205"/>
      <c r="H117" s="205"/>
      <c r="I117" s="205"/>
      <c r="J117" s="205"/>
      <c r="K117" s="205"/>
      <c r="L117" s="205"/>
      <c r="M117" s="206"/>
      <c r="N117" s="207"/>
      <c r="O117" s="208"/>
      <c r="P117" s="114"/>
      <c r="Q117" s="209"/>
      <c r="R117" s="210"/>
      <c r="S117" s="210"/>
      <c r="T117" s="209"/>
      <c r="U117" s="209"/>
      <c r="V117" s="211"/>
      <c r="W117" s="211"/>
      <c r="X117" s="209"/>
      <c r="Y117" s="212"/>
      <c r="Z117" s="213"/>
      <c r="AA117" s="211"/>
      <c r="AB117" s="214"/>
      <c r="AC117" s="210"/>
      <c r="AD117" s="154">
        <f>AE117</f>
        <v>4500000</v>
      </c>
      <c r="AE117" s="102">
        <f>AE118</f>
        <v>4500000</v>
      </c>
      <c r="AF117" s="35"/>
      <c r="AG117" s="35"/>
      <c r="AH117" s="217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5">
        <f>AE118</f>
        <v>4500000</v>
      </c>
      <c r="AE118" s="59">
        <v>4500000</v>
      </c>
      <c r="AF118" s="22"/>
      <c r="AG118" s="22"/>
      <c r="AH118" s="247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30087699.49000001</v>
      </c>
      <c r="AI119" s="192">
        <f>AH119/AD119*100</f>
        <v>35.18904954040712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2017-05-30T08:19:59Z</cp:lastPrinted>
  <dcterms:created xsi:type="dcterms:W3CDTF">2014-01-17T10:52:16Z</dcterms:created>
  <dcterms:modified xsi:type="dcterms:W3CDTF">2017-06-20T13:28:02Z</dcterms:modified>
  <cp:category/>
  <cp:version/>
  <cp:contentType/>
  <cp:contentStatus/>
</cp:coreProperties>
</file>